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лот1!$A$1:$N$36</definedName>
  </definedNames>
  <calcPr calcId="125725"/>
</workbook>
</file>

<file path=xl/calcChain.xml><?xml version="1.0" encoding="utf-8"?>
<calcChain xmlns="http://schemas.openxmlformats.org/spreadsheetml/2006/main">
  <c r="O40" i="3"/>
  <c r="P34"/>
  <c r="O34"/>
  <c r="M33"/>
  <c r="N33"/>
  <c r="L33"/>
  <c r="M32"/>
  <c r="N32"/>
  <c r="L32"/>
  <c r="M31"/>
  <c r="N31"/>
  <c r="L31"/>
  <c r="M30"/>
  <c r="N30"/>
  <c r="L30"/>
  <c r="M29"/>
  <c r="N29"/>
  <c r="L29"/>
  <c r="M27"/>
  <c r="N27"/>
  <c r="L27"/>
  <c r="M26"/>
  <c r="N26"/>
  <c r="L26"/>
  <c r="M25"/>
  <c r="N25"/>
  <c r="L25"/>
  <c r="M24"/>
  <c r="N24"/>
  <c r="L24"/>
  <c r="M23"/>
  <c r="N23"/>
  <c r="L23"/>
  <c r="M21"/>
  <c r="N21"/>
  <c r="L21"/>
  <c r="M20"/>
  <c r="N20"/>
  <c r="L20"/>
  <c r="M19"/>
  <c r="N19"/>
  <c r="L19"/>
  <c r="M18"/>
  <c r="N18"/>
  <c r="L18"/>
  <c r="M17"/>
  <c r="N17"/>
  <c r="L17"/>
  <c r="M16"/>
  <c r="N16"/>
  <c r="L16"/>
  <c r="M15"/>
  <c r="N15"/>
  <c r="L15"/>
  <c r="I33"/>
  <c r="I32"/>
  <c r="I31"/>
  <c r="I30"/>
  <c r="I29"/>
  <c r="I27"/>
  <c r="I26"/>
  <c r="I25"/>
  <c r="I24"/>
  <c r="I23"/>
  <c r="I21"/>
  <c r="I20"/>
  <c r="I19"/>
  <c r="I18"/>
  <c r="I17"/>
  <c r="I16"/>
  <c r="I15"/>
  <c r="I9"/>
  <c r="L14" l="1"/>
  <c r="M22"/>
  <c r="L28"/>
  <c r="N28"/>
  <c r="M14"/>
  <c r="L22"/>
  <c r="N22"/>
  <c r="M28"/>
  <c r="N14"/>
  <c r="H31"/>
  <c r="H14"/>
  <c r="H29"/>
  <c r="H26"/>
  <c r="H27"/>
  <c r="L34" l="1"/>
  <c r="L36" s="1"/>
  <c r="N34"/>
  <c r="N36" s="1"/>
  <c r="M34"/>
  <c r="M36" s="1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<sst xmlns="http://schemas.openxmlformats.org/spreadsheetml/2006/main" count="98" uniqueCount="69">
  <si>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</si>
  <si>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</si>
  <si>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</si>
  <si>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</si>
  <si>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</si>
  <si>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</si>
  <si>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</si>
  <si>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</si>
  <si>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</si>
  <si>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</si>
  <si>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</si>
  <si>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</si>
  <si>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</si>
  <si>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</si>
  <si>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</si>
  <si>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</si>
  <si>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</si>
  <si>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</si>
  <si>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</si>
  <si>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</si>
  <si>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</si>
  <si>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</si>
  <si>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</si>
  <si>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</si>
  <si>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</si>
  <si>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</si>
  <si>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</si>
  <si>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</si>
  <si>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</si>
  <si>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</si>
  <si>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</si>
  <si>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</si>
  <si>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</si>
  <si>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</si>
  <si>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</si>
  <si>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</si>
  <si>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</si>
  <si>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</si>
  <si>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</si>
  <si>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</si>
  <si>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</si>
  <si>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</si>
  <si>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</si>
  <si>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</si>
  <si>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</si>
  <si>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</si>
  <si>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</si>
  <si>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</si>
  <si>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</si>
  <si>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</si>
  <si>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</si>
  <si>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</si>
  <si>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</si>
  <si>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33</t>
  </si>
  <si>
    <t>44</t>
  </si>
  <si>
    <t>14</t>
  </si>
  <si>
    <t>15</t>
  </si>
  <si>
    <t>Лот № 5</t>
  </si>
  <si>
    <t>Жилой район  Маймаксанскийтер. округ</t>
  </si>
  <si>
    <t>БАУМАНА ул.</t>
  </si>
  <si>
    <t>МАСЛОВА ул.</t>
  </si>
  <si>
    <t>ФИЗКУЛЬТУРНИКОВ ул.</t>
  </si>
  <si>
    <t>470,5</t>
  </si>
  <si>
    <t>442,1</t>
  </si>
  <si>
    <t>453,8</t>
  </si>
  <si>
    <t>527,9</t>
  </si>
  <si>
    <t>Приложение №2</t>
  </si>
  <si>
    <t>к извещению и документации</t>
  </si>
  <si>
    <t xml:space="preserve"> о проведении открытого конкурса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</si>
</sst>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4" fillId="2" borderId="5" xfId="0" applyNumberFormat="1" applyFont="1" applyFill="1" applyBorder="1" applyAlignment="1">
      <alignment horizontal="center" vertical="top"/>
    </xf>
    <xf numFmtId="4" fontId="10" fillId="2" borderId="18" xfId="0" applyNumberFormat="1" applyFont="1" applyFill="1" applyBorder="1" applyAlignment="1">
      <alignment horizontal="left" vertical="top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top"/>
    </xf>
    <xf numFmtId="49" fontId="12" fillId="2" borderId="21" xfId="0" applyNumberFormat="1" applyFont="1" applyFill="1" applyBorder="1" applyAlignment="1">
      <alignment horizontal="left" wrapText="1"/>
    </xf>
    <xf numFmtId="49" fontId="12" fillId="2" borderId="20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left" wrapText="1"/>
    </xf>
    <xf numFmtId="49" fontId="12" fillId="2" borderId="23" xfId="0" applyNumberFormat="1" applyFont="1" applyFill="1" applyBorder="1" applyAlignment="1">
      <alignment horizontal="left" wrapText="1"/>
    </xf>
    <xf numFmtId="49" fontId="12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left" wrapText="1"/>
    </xf>
    <xf numFmtId="49" fontId="12" fillId="2" borderId="26" xfId="0" applyNumberFormat="1" applyFont="1" applyFill="1" applyBorder="1" applyAlignment="1">
      <alignment horizontal="left" wrapText="1"/>
    </xf>
    <xf numFmtId="4" fontId="2" fillId="0" borderId="0" xfId="0" applyNumberFormat="1" applyFont="1" applyAlignment="1"/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18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left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view="pageBreakPreview" topLeftCell="A31" zoomScale="90" zoomScaleNormal="100" zoomScaleSheetLayoutView="90" workbookViewId="0">
      <selection activeCell="O40" sqref="O40"/>
    </sheetView>
  </sheetViews>
  <sheetFormatPr defaultRowHeight="12.75"/>
  <cols>
    <col min="1" max="5" width="9.140625" style="6"/>
    <col min="6" max="6" width="20.7109375" style="6" customWidth="1"/>
    <col min="7" max="7" width="19.5703125" style="6" customWidth="1"/>
    <col min="8" max="8" width="11.28515625" style="7" customWidth="1"/>
    <col min="9" max="9" width="11.5703125" style="7" customWidth="1"/>
    <col min="10" max="10" width="19.28515625" style="6" customWidth="1"/>
    <col min="11" max="11" width="14.28515625" style="7" customWidth="1"/>
    <col min="12" max="12" width="9.85546875" style="7" customWidth="1"/>
    <col min="13" max="14" width="12.28515625" style="7" customWidth="1"/>
    <col min="15" max="15" width="11.5703125" customWidth="1"/>
  </cols>
  <sheetData>
    <row r="1" spans="1:25" s="1" customFormat="1" ht="16.5" customHeight="1">
      <c r="A1" s="55" t="s">
        <v>25</v>
      </c>
      <c r="B1" s="55"/>
      <c r="C1" s="55"/>
      <c r="D1" s="55"/>
      <c r="E1" s="55"/>
      <c r="F1" s="55"/>
      <c r="G1" s="55"/>
      <c r="H1" s="7"/>
      <c r="I1" s="23"/>
      <c r="J1" s="7" t="s">
        <v>66</v>
      </c>
      <c r="K1" s="3"/>
      <c r="L1" s="3"/>
      <c r="M1" s="3"/>
      <c r="N1" s="3"/>
    </row>
    <row r="2" spans="1:25" s="1" customFormat="1" ht="16.5" customHeight="1">
      <c r="A2" s="55" t="s">
        <v>24</v>
      </c>
      <c r="B2" s="55"/>
      <c r="C2" s="55"/>
      <c r="D2" s="55"/>
      <c r="E2" s="55"/>
      <c r="F2" s="55"/>
      <c r="G2" s="55"/>
      <c r="H2" s="7"/>
      <c r="I2" s="24"/>
      <c r="J2" s="7" t="s">
        <v>67</v>
      </c>
      <c r="K2" s="4"/>
      <c r="L2" s="4"/>
      <c r="M2" s="4"/>
      <c r="N2" s="4"/>
    </row>
    <row r="3" spans="1:25" s="1" customFormat="1" ht="16.5" customHeight="1">
      <c r="A3" s="55" t="s">
        <v>23</v>
      </c>
      <c r="B3" s="55"/>
      <c r="C3" s="55"/>
      <c r="D3" s="55"/>
      <c r="E3" s="55"/>
      <c r="F3" s="55"/>
      <c r="G3" s="55"/>
      <c r="H3" s="7"/>
      <c r="I3" s="23"/>
      <c r="J3" s="7" t="s">
        <v>68</v>
      </c>
      <c r="K3" s="4"/>
      <c r="L3" s="4"/>
      <c r="M3" s="4"/>
      <c r="N3" s="4"/>
    </row>
    <row r="4" spans="1:25" s="1" customFormat="1" ht="16.5" customHeight="1">
      <c r="A4" s="56" t="s">
        <v>22</v>
      </c>
      <c r="B4" s="56"/>
      <c r="C4" s="56"/>
      <c r="D4" s="56"/>
      <c r="E4" s="56"/>
      <c r="F4" s="56"/>
      <c r="G4" s="56"/>
      <c r="H4" s="7"/>
      <c r="I4" s="7"/>
      <c r="J4" s="7"/>
      <c r="K4" s="7"/>
      <c r="L4" s="7"/>
      <c r="M4" s="7"/>
      <c r="N4" s="7"/>
    </row>
    <row r="5" spans="1:25" s="1" customFormat="1">
      <c r="A5" s="5" t="s">
        <v>57</v>
      </c>
      <c r="B5" s="5" t="s">
        <v>58</v>
      </c>
      <c r="C5" s="6"/>
      <c r="D5" s="6"/>
      <c r="E5" s="6"/>
      <c r="F5" s="6"/>
      <c r="G5" s="6"/>
      <c r="H5" s="7"/>
      <c r="I5" s="7"/>
      <c r="J5" s="6"/>
      <c r="K5" s="7"/>
      <c r="L5" s="7"/>
      <c r="M5" s="7"/>
      <c r="N5" s="7"/>
    </row>
    <row r="6" spans="1:25" s="1" customFormat="1" ht="15.75" customHeight="1">
      <c r="A6" s="60" t="s">
        <v>21</v>
      </c>
      <c r="B6" s="61"/>
      <c r="C6" s="61"/>
      <c r="D6" s="61"/>
      <c r="E6" s="61"/>
      <c r="F6" s="61"/>
      <c r="G6" s="67"/>
      <c r="H6" s="68"/>
      <c r="I6" s="68"/>
      <c r="J6" s="67" t="s">
        <v>20</v>
      </c>
      <c r="K6" s="68"/>
      <c r="L6" s="68"/>
      <c r="M6" s="68"/>
      <c r="N6" s="68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s="8" customFormat="1" ht="56.25" customHeight="1">
      <c r="A7" s="62"/>
      <c r="B7" s="63"/>
      <c r="C7" s="63"/>
      <c r="D7" s="63"/>
      <c r="E7" s="63"/>
      <c r="F7" s="63"/>
      <c r="G7" s="64" t="s">
        <v>19</v>
      </c>
      <c r="H7" s="65" t="s">
        <v>46</v>
      </c>
      <c r="I7" s="30" t="s">
        <v>59</v>
      </c>
      <c r="J7" s="69" t="s">
        <v>19</v>
      </c>
      <c r="K7" s="65" t="s">
        <v>47</v>
      </c>
      <c r="L7" s="32" t="s">
        <v>60</v>
      </c>
      <c r="M7" s="33" t="s">
        <v>61</v>
      </c>
      <c r="N7" s="33" t="s">
        <v>61</v>
      </c>
    </row>
    <row r="8" spans="1:25" s="8" customFormat="1">
      <c r="A8" s="62"/>
      <c r="B8" s="63"/>
      <c r="C8" s="63"/>
      <c r="D8" s="63"/>
      <c r="E8" s="63"/>
      <c r="F8" s="63"/>
      <c r="G8" s="64"/>
      <c r="H8" s="65"/>
      <c r="I8" s="31" t="s">
        <v>55</v>
      </c>
      <c r="J8" s="69"/>
      <c r="K8" s="65"/>
      <c r="L8" s="34" t="s">
        <v>56</v>
      </c>
      <c r="M8" s="35" t="s">
        <v>53</v>
      </c>
      <c r="N8" s="35" t="s">
        <v>54</v>
      </c>
    </row>
    <row r="9" spans="1:25" s="1" customFormat="1">
      <c r="A9" s="57" t="s">
        <v>18</v>
      </c>
      <c r="B9" s="58"/>
      <c r="C9" s="58"/>
      <c r="D9" s="58"/>
      <c r="E9" s="58"/>
      <c r="F9" s="59"/>
      <c r="G9" s="25"/>
      <c r="H9" s="16">
        <f t="shared" ref="H9" si="0">SUM(H10:H13)</f>
        <v>0</v>
      </c>
      <c r="I9" s="16">
        <f t="shared" ref="I9" si="1">SUM(I10:I13)</f>
        <v>0</v>
      </c>
      <c r="J9" s="15"/>
      <c r="K9" s="16">
        <v>0</v>
      </c>
      <c r="L9" s="16">
        <v>0</v>
      </c>
      <c r="M9" s="16">
        <v>0</v>
      </c>
      <c r="N9" s="16">
        <v>0</v>
      </c>
    </row>
    <row r="10" spans="1:25" s="1" customFormat="1">
      <c r="A10" s="38" t="s">
        <v>26</v>
      </c>
      <c r="B10" s="38"/>
      <c r="C10" s="38"/>
      <c r="D10" s="38"/>
      <c r="E10" s="38"/>
      <c r="F10" s="38"/>
      <c r="G10" s="11" t="s">
        <v>11</v>
      </c>
      <c r="H10" s="11">
        <v>0</v>
      </c>
      <c r="I10" s="11">
        <v>0</v>
      </c>
      <c r="J10" s="11" t="s">
        <v>11</v>
      </c>
      <c r="K10" s="11">
        <v>0</v>
      </c>
      <c r="L10" s="11">
        <v>0</v>
      </c>
      <c r="M10" s="11">
        <v>0</v>
      </c>
      <c r="N10" s="11">
        <v>0</v>
      </c>
    </row>
    <row r="11" spans="1:25" s="1" customFormat="1">
      <c r="A11" s="38" t="s">
        <v>27</v>
      </c>
      <c r="B11" s="38"/>
      <c r="C11" s="38"/>
      <c r="D11" s="38"/>
      <c r="E11" s="38"/>
      <c r="F11" s="38"/>
      <c r="G11" s="11" t="s">
        <v>11</v>
      </c>
      <c r="H11" s="11">
        <v>0</v>
      </c>
      <c r="I11" s="11">
        <v>0</v>
      </c>
      <c r="J11" s="11" t="s">
        <v>11</v>
      </c>
      <c r="K11" s="11">
        <v>0</v>
      </c>
      <c r="L11" s="11">
        <v>0</v>
      </c>
      <c r="M11" s="11">
        <v>0</v>
      </c>
      <c r="N11" s="11">
        <v>0</v>
      </c>
    </row>
    <row r="12" spans="1:25" s="1" customFormat="1">
      <c r="A12" s="38" t="s">
        <v>17</v>
      </c>
      <c r="B12" s="38"/>
      <c r="C12" s="38"/>
      <c r="D12" s="38"/>
      <c r="E12" s="38"/>
      <c r="F12" s="38"/>
      <c r="G12" s="11" t="s">
        <v>11</v>
      </c>
      <c r="H12" s="11">
        <v>0</v>
      </c>
      <c r="I12" s="11">
        <v>0</v>
      </c>
      <c r="J12" s="11" t="s">
        <v>11</v>
      </c>
      <c r="K12" s="11">
        <v>0</v>
      </c>
      <c r="L12" s="11">
        <v>0</v>
      </c>
      <c r="M12" s="11">
        <v>0</v>
      </c>
      <c r="N12" s="11">
        <v>0</v>
      </c>
    </row>
    <row r="13" spans="1:25" s="1" customFormat="1">
      <c r="A13" s="38" t="s">
        <v>16</v>
      </c>
      <c r="B13" s="38"/>
      <c r="C13" s="38"/>
      <c r="D13" s="38"/>
      <c r="E13" s="38"/>
      <c r="F13" s="38"/>
      <c r="G13" s="11" t="s">
        <v>15</v>
      </c>
      <c r="H13" s="11">
        <v>0</v>
      </c>
      <c r="I13" s="11">
        <v>0</v>
      </c>
      <c r="J13" s="11" t="s">
        <v>15</v>
      </c>
      <c r="K13" s="11">
        <v>0</v>
      </c>
      <c r="L13" s="11">
        <v>0</v>
      </c>
      <c r="M13" s="11">
        <v>0</v>
      </c>
      <c r="N13" s="11">
        <v>0</v>
      </c>
    </row>
    <row r="14" spans="1:25" s="1" customFormat="1" ht="23.85" customHeight="1">
      <c r="A14" s="42" t="s">
        <v>14</v>
      </c>
      <c r="B14" s="43"/>
      <c r="C14" s="43"/>
      <c r="D14" s="43"/>
      <c r="E14" s="43"/>
      <c r="F14" s="44"/>
      <c r="G14" s="10"/>
      <c r="H14" s="9">
        <f t="shared" ref="H14" si="2">SUM(H15:H21)</f>
        <v>4.6500000000000004</v>
      </c>
      <c r="I14" s="9">
        <f t="shared" ref="I14" si="3">SUM(I15:I21)</f>
        <v>26253.9</v>
      </c>
      <c r="J14" s="10"/>
      <c r="K14" s="9">
        <v>11.129999999999999</v>
      </c>
      <c r="L14" s="9">
        <f t="shared" ref="L14:N14" si="4">SUM(L15:L21)</f>
        <v>59046.876000000004</v>
      </c>
      <c r="M14" s="9">
        <f t="shared" si="4"/>
        <v>60609.528000000006</v>
      </c>
      <c r="N14" s="9">
        <f t="shared" si="4"/>
        <v>70506.323999999993</v>
      </c>
    </row>
    <row r="15" spans="1:25" s="1" customFormat="1">
      <c r="A15" s="38" t="s">
        <v>40</v>
      </c>
      <c r="B15" s="38"/>
      <c r="C15" s="38"/>
      <c r="D15" s="38"/>
      <c r="E15" s="38"/>
      <c r="F15" s="38"/>
      <c r="G15" s="11" t="s">
        <v>41</v>
      </c>
      <c r="H15" s="11">
        <v>1.08</v>
      </c>
      <c r="I15" s="11">
        <f>1.08*12*I35</f>
        <v>6097.68</v>
      </c>
      <c r="J15" s="11" t="s">
        <v>41</v>
      </c>
      <c r="K15" s="11">
        <v>0.95</v>
      </c>
      <c r="L15" s="11">
        <f>0.95*12*L35</f>
        <v>5039.9399999999996</v>
      </c>
      <c r="M15" s="11">
        <f t="shared" ref="M15:N15" si="5">0.95*12*M35</f>
        <v>5173.32</v>
      </c>
      <c r="N15" s="11">
        <f t="shared" si="5"/>
        <v>6018.0599999999986</v>
      </c>
    </row>
    <row r="16" spans="1:25" s="1" customFormat="1">
      <c r="A16" s="38" t="s">
        <v>31</v>
      </c>
      <c r="B16" s="38"/>
      <c r="C16" s="38"/>
      <c r="D16" s="38"/>
      <c r="E16" s="38"/>
      <c r="F16" s="38"/>
      <c r="G16" s="11" t="s">
        <v>13</v>
      </c>
      <c r="H16" s="11">
        <v>0.41</v>
      </c>
      <c r="I16" s="11">
        <f>0.41*12*I35</f>
        <v>2314.86</v>
      </c>
      <c r="J16" s="11" t="s">
        <v>13</v>
      </c>
      <c r="K16" s="11">
        <v>0.89</v>
      </c>
      <c r="L16" s="11">
        <f>0.89*12*L35</f>
        <v>4721.6279999999997</v>
      </c>
      <c r="M16" s="11">
        <f t="shared" ref="M16:N16" si="6">0.89*12*M35</f>
        <v>4846.5839999999998</v>
      </c>
      <c r="N16" s="11">
        <f t="shared" si="6"/>
        <v>5637.9719999999998</v>
      </c>
    </row>
    <row r="17" spans="1:14" s="1" customFormat="1">
      <c r="A17" s="38" t="s">
        <v>32</v>
      </c>
      <c r="B17" s="38"/>
      <c r="C17" s="38"/>
      <c r="D17" s="38"/>
      <c r="E17" s="38"/>
      <c r="F17" s="38"/>
      <c r="G17" s="11" t="s">
        <v>42</v>
      </c>
      <c r="H17" s="11">
        <v>0.32</v>
      </c>
      <c r="I17" s="11">
        <f>0.32*12*I35</f>
        <v>1806.72</v>
      </c>
      <c r="J17" s="11" t="s">
        <v>42</v>
      </c>
      <c r="K17" s="11">
        <v>0.38</v>
      </c>
      <c r="L17" s="11">
        <f>0.38*12*L35</f>
        <v>2015.9760000000003</v>
      </c>
      <c r="M17" s="11">
        <f t="shared" ref="M17:N17" si="7">0.38*12*M35</f>
        <v>2069.3280000000004</v>
      </c>
      <c r="N17" s="11">
        <f t="shared" si="7"/>
        <v>2407.2240000000002</v>
      </c>
    </row>
    <row r="18" spans="1:14" s="1" customFormat="1" ht="57.75" customHeight="1">
      <c r="A18" s="39" t="s">
        <v>33</v>
      </c>
      <c r="B18" s="40"/>
      <c r="C18" s="40"/>
      <c r="D18" s="40"/>
      <c r="E18" s="40"/>
      <c r="F18" s="41"/>
      <c r="G18" s="12" t="s">
        <v>12</v>
      </c>
      <c r="H18" s="11">
        <v>0.17</v>
      </c>
      <c r="I18" s="11">
        <f>0.17*12*I35</f>
        <v>959.82</v>
      </c>
      <c r="J18" s="12" t="s">
        <v>12</v>
      </c>
      <c r="K18" s="11">
        <v>0.27</v>
      </c>
      <c r="L18" s="11">
        <f>0.27*12*L35</f>
        <v>1432.4040000000002</v>
      </c>
      <c r="M18" s="11">
        <f t="shared" ref="M18:N18" si="8">0.27*12*M35</f>
        <v>1470.3120000000001</v>
      </c>
      <c r="N18" s="11">
        <f t="shared" si="8"/>
        <v>1710.396</v>
      </c>
    </row>
    <row r="19" spans="1:14" s="1" customFormat="1" ht="23.25" customHeight="1">
      <c r="A19" s="37" t="s">
        <v>34</v>
      </c>
      <c r="B19" s="38"/>
      <c r="C19" s="38"/>
      <c r="D19" s="38"/>
      <c r="E19" s="38"/>
      <c r="F19" s="38"/>
      <c r="G19" s="11" t="s">
        <v>43</v>
      </c>
      <c r="H19" s="11">
        <v>0.05</v>
      </c>
      <c r="I19" s="11">
        <f>0.05*12*I35</f>
        <v>282.30000000000007</v>
      </c>
      <c r="J19" s="11" t="s">
        <v>43</v>
      </c>
      <c r="K19" s="11">
        <v>0.05</v>
      </c>
      <c r="L19" s="11">
        <f t="shared" ref="L19:N19" si="9">0.05*12*L35</f>
        <v>265.26000000000005</v>
      </c>
      <c r="M19" s="11">
        <f t="shared" si="9"/>
        <v>272.28000000000003</v>
      </c>
      <c r="N19" s="11">
        <f t="shared" si="9"/>
        <v>316.74</v>
      </c>
    </row>
    <row r="20" spans="1:14" s="1" customFormat="1" ht="33.75">
      <c r="A20" s="38" t="s">
        <v>35</v>
      </c>
      <c r="B20" s="38"/>
      <c r="C20" s="38"/>
      <c r="D20" s="38"/>
      <c r="E20" s="38"/>
      <c r="F20" s="38"/>
      <c r="G20" s="13" t="s">
        <v>49</v>
      </c>
      <c r="H20" s="11">
        <v>2.62</v>
      </c>
      <c r="I20" s="11">
        <f>2.62*12*I35</f>
        <v>14792.52</v>
      </c>
      <c r="J20" s="13" t="s">
        <v>49</v>
      </c>
      <c r="K20" s="11">
        <v>3.89</v>
      </c>
      <c r="L20" s="11">
        <f>3.89*12*L35</f>
        <v>20637.227999999999</v>
      </c>
      <c r="M20" s="11">
        <f t="shared" ref="M20:N20" si="10">3.89*12*M35</f>
        <v>21183.384000000002</v>
      </c>
      <c r="N20" s="11">
        <f t="shared" si="10"/>
        <v>24642.371999999999</v>
      </c>
    </row>
    <row r="21" spans="1:14" s="1" customFormat="1">
      <c r="A21" s="38" t="s">
        <v>36</v>
      </c>
      <c r="B21" s="38"/>
      <c r="C21" s="38"/>
      <c r="D21" s="38"/>
      <c r="E21" s="38"/>
      <c r="F21" s="38"/>
      <c r="G21" s="11" t="s">
        <v>4</v>
      </c>
      <c r="H21" s="11">
        <v>0</v>
      </c>
      <c r="I21" s="11">
        <f>0*12*I35</f>
        <v>0</v>
      </c>
      <c r="J21" s="11" t="s">
        <v>4</v>
      </c>
      <c r="K21" s="11">
        <v>4.7</v>
      </c>
      <c r="L21" s="11">
        <f>4.7*12*L35</f>
        <v>24934.440000000002</v>
      </c>
      <c r="M21" s="11">
        <f t="shared" ref="M21:N21" si="11">4.7*12*M35</f>
        <v>25594.320000000003</v>
      </c>
      <c r="N21" s="11">
        <f t="shared" si="11"/>
        <v>29773.56</v>
      </c>
    </row>
    <row r="22" spans="1:14" s="1" customFormat="1" ht="13.5" customHeight="1">
      <c r="A22" s="42" t="s">
        <v>10</v>
      </c>
      <c r="B22" s="43"/>
      <c r="C22" s="43"/>
      <c r="D22" s="43"/>
      <c r="E22" s="43"/>
      <c r="F22" s="44"/>
      <c r="G22" s="10"/>
      <c r="H22" s="14">
        <f t="shared" ref="H22" si="12">SUM(H23:H27)</f>
        <v>1.94</v>
      </c>
      <c r="I22" s="14">
        <f t="shared" ref="I22" si="13">SUM(I23:I27)</f>
        <v>10953.240000000002</v>
      </c>
      <c r="J22" s="10"/>
      <c r="K22" s="14">
        <v>3.23</v>
      </c>
      <c r="L22" s="14">
        <f t="shared" ref="L22:N22" si="14">SUM(L23:L27)</f>
        <v>17135.795999999998</v>
      </c>
      <c r="M22" s="14">
        <f t="shared" si="14"/>
        <v>17589.288</v>
      </c>
      <c r="N22" s="14">
        <f t="shared" si="14"/>
        <v>20461.403999999999</v>
      </c>
    </row>
    <row r="23" spans="1:14" s="1" customFormat="1">
      <c r="A23" s="37" t="s">
        <v>38</v>
      </c>
      <c r="B23" s="38"/>
      <c r="C23" s="38"/>
      <c r="D23" s="38"/>
      <c r="E23" s="38"/>
      <c r="F23" s="38"/>
      <c r="G23" s="11" t="s">
        <v>4</v>
      </c>
      <c r="H23" s="11">
        <v>1.02</v>
      </c>
      <c r="I23" s="11">
        <f>1.02*12*I35</f>
        <v>5758.92</v>
      </c>
      <c r="J23" s="11" t="s">
        <v>4</v>
      </c>
      <c r="K23" s="11">
        <v>1.02</v>
      </c>
      <c r="L23" s="11">
        <f t="shared" ref="L23:N23" si="15">1.02*12*L35</f>
        <v>5411.3040000000001</v>
      </c>
      <c r="M23" s="11">
        <f t="shared" si="15"/>
        <v>5554.5120000000006</v>
      </c>
      <c r="N23" s="11">
        <f t="shared" si="15"/>
        <v>6461.4960000000001</v>
      </c>
    </row>
    <row r="24" spans="1:14" s="1" customFormat="1" ht="25.5" customHeight="1">
      <c r="A24" s="37" t="s">
        <v>28</v>
      </c>
      <c r="B24" s="38"/>
      <c r="C24" s="38"/>
      <c r="D24" s="38"/>
      <c r="E24" s="38"/>
      <c r="F24" s="38"/>
      <c r="G24" s="11" t="s">
        <v>3</v>
      </c>
      <c r="H24" s="11">
        <v>0</v>
      </c>
      <c r="I24" s="11">
        <f>0*1242*I35</f>
        <v>0</v>
      </c>
      <c r="J24" s="11" t="s">
        <v>3</v>
      </c>
      <c r="K24" s="11">
        <v>0</v>
      </c>
      <c r="L24" s="11">
        <f>0*12*L35</f>
        <v>0</v>
      </c>
      <c r="M24" s="11">
        <f t="shared" ref="M24:N24" si="16">0*12*M35</f>
        <v>0</v>
      </c>
      <c r="N24" s="11">
        <f t="shared" si="16"/>
        <v>0</v>
      </c>
    </row>
    <row r="25" spans="1:14" s="1" customFormat="1" ht="25.5" customHeight="1">
      <c r="A25" s="37" t="s">
        <v>29</v>
      </c>
      <c r="B25" s="37"/>
      <c r="C25" s="37"/>
      <c r="D25" s="37"/>
      <c r="E25" s="37"/>
      <c r="F25" s="37"/>
      <c r="G25" s="11" t="s">
        <v>8</v>
      </c>
      <c r="H25" s="11">
        <v>0</v>
      </c>
      <c r="I25" s="11">
        <f>0*12*I35</f>
        <v>0</v>
      </c>
      <c r="J25" s="11" t="s">
        <v>8</v>
      </c>
      <c r="K25" s="11">
        <v>0</v>
      </c>
      <c r="L25" s="11">
        <f t="shared" ref="L25:N25" si="17">0*12*L35</f>
        <v>0</v>
      </c>
      <c r="M25" s="11">
        <f t="shared" si="17"/>
        <v>0</v>
      </c>
      <c r="N25" s="11">
        <f t="shared" si="17"/>
        <v>0</v>
      </c>
    </row>
    <row r="26" spans="1:14" s="1" customFormat="1" ht="57" customHeight="1">
      <c r="A26" s="37" t="s">
        <v>30</v>
      </c>
      <c r="B26" s="37"/>
      <c r="C26" s="37"/>
      <c r="D26" s="37"/>
      <c r="E26" s="37"/>
      <c r="F26" s="37"/>
      <c r="G26" s="12" t="s">
        <v>9</v>
      </c>
      <c r="H26" s="11">
        <f>0.03+0.01</f>
        <v>0.04</v>
      </c>
      <c r="I26" s="11">
        <f>0.04*12*I35</f>
        <v>225.84</v>
      </c>
      <c r="J26" s="12" t="s">
        <v>9</v>
      </c>
      <c r="K26" s="11">
        <v>0.04</v>
      </c>
      <c r="L26" s="11">
        <f t="shared" ref="L26:N26" si="18">0.04*12*L35</f>
        <v>212.208</v>
      </c>
      <c r="M26" s="11">
        <f t="shared" si="18"/>
        <v>217.82399999999998</v>
      </c>
      <c r="N26" s="11">
        <f t="shared" si="18"/>
        <v>253.39199999999997</v>
      </c>
    </row>
    <row r="27" spans="1:14" s="1" customFormat="1" ht="85.5" customHeight="1">
      <c r="A27" s="37" t="s">
        <v>48</v>
      </c>
      <c r="B27" s="37"/>
      <c r="C27" s="37"/>
      <c r="D27" s="37"/>
      <c r="E27" s="37"/>
      <c r="F27" s="37"/>
      <c r="G27" s="11" t="s">
        <v>8</v>
      </c>
      <c r="H27" s="11">
        <f>0.32+0.18+0.38</f>
        <v>0.88</v>
      </c>
      <c r="I27" s="11">
        <f>0.88*12*I35</f>
        <v>4968.4800000000005</v>
      </c>
      <c r="J27" s="11" t="s">
        <v>8</v>
      </c>
      <c r="K27" s="11">
        <v>2.17</v>
      </c>
      <c r="L27" s="11">
        <f>2.17*12*L35</f>
        <v>11512.284</v>
      </c>
      <c r="M27" s="11">
        <f t="shared" ref="M27:N27" si="19">2.17*12*M35</f>
        <v>11816.951999999999</v>
      </c>
      <c r="N27" s="11">
        <f t="shared" si="19"/>
        <v>13746.516</v>
      </c>
    </row>
    <row r="28" spans="1:14" s="1" customFormat="1">
      <c r="A28" s="48" t="s">
        <v>7</v>
      </c>
      <c r="B28" s="49"/>
      <c r="C28" s="49"/>
      <c r="D28" s="49"/>
      <c r="E28" s="49"/>
      <c r="F28" s="50"/>
      <c r="G28" s="10"/>
      <c r="H28" s="14">
        <f t="shared" ref="H28" si="20">SUM(H29:H33)</f>
        <v>11.659999999999997</v>
      </c>
      <c r="I28" s="14">
        <f t="shared" ref="I28" si="21">SUM(I29:I33)</f>
        <v>65832.359999999986</v>
      </c>
      <c r="J28" s="10"/>
      <c r="K28" s="14">
        <v>7.3299999999999992</v>
      </c>
      <c r="L28" s="14">
        <f t="shared" ref="L28:N28" si="22">SUM(L29:L33)</f>
        <v>38887.116000000002</v>
      </c>
      <c r="M28" s="14">
        <f t="shared" si="22"/>
        <v>39916.248000000007</v>
      </c>
      <c r="N28" s="14">
        <f t="shared" si="22"/>
        <v>46434.084000000003</v>
      </c>
    </row>
    <row r="29" spans="1:14" s="1" customFormat="1" ht="176.25" customHeight="1">
      <c r="A29" s="37" t="s">
        <v>39</v>
      </c>
      <c r="B29" s="37"/>
      <c r="C29" s="37"/>
      <c r="D29" s="37"/>
      <c r="E29" s="37"/>
      <c r="F29" s="37"/>
      <c r="G29" s="12" t="s">
        <v>44</v>
      </c>
      <c r="H29" s="11">
        <f>0.49+0.35+2.46+2.46+0.81+0.1+0.13+0.14+0.1+0.03+0.02+0.04+0.01</f>
        <v>7.1399999999999988</v>
      </c>
      <c r="I29" s="11">
        <f>7.14*12*I35</f>
        <v>40312.439999999995</v>
      </c>
      <c r="J29" s="12" t="s">
        <v>44</v>
      </c>
      <c r="K29" s="11">
        <v>1.57</v>
      </c>
      <c r="L29" s="11">
        <f>1.57*12*L35</f>
        <v>8329.1640000000007</v>
      </c>
      <c r="M29" s="11">
        <f t="shared" ref="M29:N29" si="23">1.57*12*M35</f>
        <v>8549.5920000000006</v>
      </c>
      <c r="N29" s="11">
        <f t="shared" si="23"/>
        <v>9945.6359999999986</v>
      </c>
    </row>
    <row r="30" spans="1:14" s="1" customFormat="1" ht="84.75" customHeight="1">
      <c r="A30" s="38" t="s">
        <v>6</v>
      </c>
      <c r="B30" s="38"/>
      <c r="C30" s="38"/>
      <c r="D30" s="38"/>
      <c r="E30" s="38"/>
      <c r="F30" s="38"/>
      <c r="G30" s="12" t="s">
        <v>5</v>
      </c>
      <c r="H30" s="11">
        <v>1.4</v>
      </c>
      <c r="I30" s="11">
        <f>1.4*12*I35</f>
        <v>7904.3999999999987</v>
      </c>
      <c r="J30" s="12" t="s">
        <v>5</v>
      </c>
      <c r="K30" s="11">
        <v>1.85</v>
      </c>
      <c r="L30" s="11">
        <f>1.85*12*L35</f>
        <v>9814.6200000000026</v>
      </c>
      <c r="M30" s="11">
        <f t="shared" ref="M30:N30" si="24">1.85*12*M35</f>
        <v>10074.360000000002</v>
      </c>
      <c r="N30" s="11">
        <f t="shared" si="24"/>
        <v>11719.380000000001</v>
      </c>
    </row>
    <row r="31" spans="1:14" s="1" customFormat="1" ht="22.5">
      <c r="A31" s="38" t="s">
        <v>37</v>
      </c>
      <c r="B31" s="38"/>
      <c r="C31" s="38"/>
      <c r="D31" s="38"/>
      <c r="E31" s="38"/>
      <c r="F31" s="38"/>
      <c r="G31" s="13" t="s">
        <v>45</v>
      </c>
      <c r="H31" s="11">
        <f>0.51+0.3+0.22+0.12+0.17+0.22</f>
        <v>1.5399999999999998</v>
      </c>
      <c r="I31" s="11">
        <f>1.54*12*I35</f>
        <v>8694.84</v>
      </c>
      <c r="J31" s="13" t="s">
        <v>45</v>
      </c>
      <c r="K31" s="11">
        <v>2.1199999999999997</v>
      </c>
      <c r="L31" s="11">
        <f>2.12*12*L35</f>
        <v>11247.024000000001</v>
      </c>
      <c r="M31" s="11">
        <f t="shared" ref="M31:N31" si="25">2.12*12*M35</f>
        <v>11544.672</v>
      </c>
      <c r="N31" s="11">
        <f t="shared" si="25"/>
        <v>13429.776</v>
      </c>
    </row>
    <row r="32" spans="1:14" s="1" customFormat="1">
      <c r="A32" s="38" t="s">
        <v>51</v>
      </c>
      <c r="B32" s="38"/>
      <c r="C32" s="38"/>
      <c r="D32" s="38"/>
      <c r="E32" s="38"/>
      <c r="F32" s="38"/>
      <c r="G32" s="11" t="s">
        <v>4</v>
      </c>
      <c r="H32" s="11">
        <v>0.87</v>
      </c>
      <c r="I32" s="11">
        <f>0.87*12*I35</f>
        <v>4912.0199999999995</v>
      </c>
      <c r="J32" s="11" t="s">
        <v>4</v>
      </c>
      <c r="K32" s="11">
        <v>1.36</v>
      </c>
      <c r="L32" s="11">
        <f>1.36*12*L35</f>
        <v>7215.0720000000001</v>
      </c>
      <c r="M32" s="11">
        <f t="shared" ref="M32:N32" si="26">1.36*12*M35</f>
        <v>7406.0160000000005</v>
      </c>
      <c r="N32" s="11">
        <f t="shared" si="26"/>
        <v>8615.3279999999995</v>
      </c>
    </row>
    <row r="33" spans="1:16" s="1" customFormat="1">
      <c r="A33" s="38" t="s">
        <v>52</v>
      </c>
      <c r="B33" s="38"/>
      <c r="C33" s="38"/>
      <c r="D33" s="38"/>
      <c r="E33" s="38"/>
      <c r="F33" s="38"/>
      <c r="G33" s="11" t="s">
        <v>8</v>
      </c>
      <c r="H33" s="11">
        <v>0.71</v>
      </c>
      <c r="I33" s="11">
        <f>0.71*12*I35</f>
        <v>4008.66</v>
      </c>
      <c r="J33" s="11" t="s">
        <v>8</v>
      </c>
      <c r="K33" s="11">
        <v>0.43</v>
      </c>
      <c r="L33" s="11">
        <f>0.43*12*L35</f>
        <v>2281.2360000000003</v>
      </c>
      <c r="M33" s="11">
        <f t="shared" ref="M33:N33" si="27">0.43*12*M35</f>
        <v>2341.6080000000002</v>
      </c>
      <c r="N33" s="11">
        <f t="shared" si="27"/>
        <v>2723.9639999999999</v>
      </c>
    </row>
    <row r="34" spans="1:16" s="1" customFormat="1">
      <c r="A34" s="51" t="s">
        <v>2</v>
      </c>
      <c r="B34" s="52"/>
      <c r="C34" s="52"/>
      <c r="D34" s="52"/>
      <c r="E34" s="52"/>
      <c r="F34" s="53"/>
      <c r="G34" s="17"/>
      <c r="H34" s="17"/>
      <c r="I34" s="18">
        <f>I14+I22+I28</f>
        <v>103039.49999999999</v>
      </c>
      <c r="J34" s="17"/>
      <c r="K34" s="19"/>
      <c r="L34" s="18">
        <f>L14+L22+L28</f>
        <v>115069.788</v>
      </c>
      <c r="M34" s="18">
        <f t="shared" ref="M34:N34" si="28">M14+M22+M28</f>
        <v>118115.06400000001</v>
      </c>
      <c r="N34" s="18">
        <f t="shared" si="28"/>
        <v>137401.81199999998</v>
      </c>
      <c r="O34" s="36">
        <f>SUM(I34:N34)</f>
        <v>473626.16399999999</v>
      </c>
      <c r="P34" s="1">
        <f>O34/12*0.05</f>
        <v>1973.4423500000003</v>
      </c>
    </row>
    <row r="35" spans="1:16" s="22" customFormat="1">
      <c r="A35" s="54" t="s">
        <v>1</v>
      </c>
      <c r="B35" s="54"/>
      <c r="C35" s="54"/>
      <c r="D35" s="54"/>
      <c r="E35" s="54"/>
      <c r="F35" s="54"/>
      <c r="G35" s="26"/>
      <c r="H35" s="27"/>
      <c r="I35" s="29" t="s">
        <v>62</v>
      </c>
      <c r="J35" s="28"/>
      <c r="K35" s="27"/>
      <c r="L35" s="29" t="s">
        <v>63</v>
      </c>
      <c r="M35" s="29" t="s">
        <v>64</v>
      </c>
      <c r="N35" s="29" t="s">
        <v>65</v>
      </c>
    </row>
    <row r="36" spans="1:16" s="2" customFormat="1" ht="25.5" customHeight="1">
      <c r="A36" s="45" t="s">
        <v>50</v>
      </c>
      <c r="B36" s="46"/>
      <c r="C36" s="46"/>
      <c r="D36" s="46"/>
      <c r="E36" s="46"/>
      <c r="F36" s="47"/>
      <c r="G36" s="20"/>
      <c r="H36" s="21">
        <f>H14+H22+H28</f>
        <v>18.249999999999996</v>
      </c>
      <c r="I36" s="21">
        <f>I34 /12/I35</f>
        <v>18.249999999999996</v>
      </c>
      <c r="J36" s="21"/>
      <c r="K36" s="21">
        <v>21.689999999999998</v>
      </c>
      <c r="L36" s="21">
        <f>L34/12/L35</f>
        <v>21.689999999999998</v>
      </c>
      <c r="M36" s="21">
        <f t="shared" ref="M36:N36" si="29">M34/12/M35</f>
        <v>21.69</v>
      </c>
      <c r="N36" s="21">
        <f t="shared" si="29"/>
        <v>21.689999999999998</v>
      </c>
    </row>
    <row r="37" spans="1:16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6"/>
      <c r="K37" s="7"/>
      <c r="L37" s="7"/>
      <c r="M37" s="7"/>
      <c r="N37" s="7"/>
    </row>
    <row r="38" spans="1:16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6"/>
      <c r="K38" s="7"/>
      <c r="L38" s="7"/>
      <c r="M38" s="7"/>
      <c r="N38" s="7"/>
    </row>
    <row r="39" spans="1:16" s="1" customFormat="1">
      <c r="A39" s="6"/>
      <c r="B39" s="6"/>
      <c r="C39" s="6"/>
      <c r="D39" s="6"/>
      <c r="E39" s="6"/>
      <c r="F39" s="6"/>
      <c r="G39" s="6"/>
      <c r="H39" s="7"/>
      <c r="I39" s="7"/>
      <c r="J39" s="6"/>
      <c r="K39" s="7"/>
      <c r="L39" s="7"/>
      <c r="M39" s="7"/>
      <c r="N39" s="7"/>
    </row>
    <row r="40" spans="1:16" s="1" customFormat="1">
      <c r="A40" s="6"/>
      <c r="B40" s="6"/>
      <c r="C40" s="6"/>
      <c r="D40" s="6"/>
      <c r="E40" s="6"/>
      <c r="F40" s="6"/>
      <c r="G40" s="6"/>
      <c r="H40" s="7"/>
      <c r="I40" s="7"/>
      <c r="J40" s="6"/>
      <c r="K40" s="7"/>
      <c r="L40" s="7"/>
      <c r="M40" s="7"/>
      <c r="N40" s="7"/>
      <c r="O40" s="1">
        <f>O34/12</f>
        <v>39468.847000000002</v>
      </c>
    </row>
    <row r="41" spans="1:16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6"/>
      <c r="K41" s="7"/>
      <c r="L41" s="7"/>
      <c r="M41" s="7"/>
      <c r="N41" s="7"/>
    </row>
    <row r="42" spans="1:16" s="1" customFormat="1">
      <c r="A42" s="6"/>
      <c r="B42" s="6"/>
      <c r="C42" s="6"/>
      <c r="D42" s="6"/>
      <c r="E42" s="6"/>
      <c r="F42" s="6"/>
      <c r="G42" s="6"/>
      <c r="H42" s="7"/>
      <c r="I42" s="7"/>
      <c r="J42" s="6"/>
      <c r="K42" s="7"/>
      <c r="L42" s="7"/>
      <c r="M42" s="7"/>
      <c r="N42" s="7"/>
    </row>
  </sheetData>
  <mergeCells count="40">
    <mergeCell ref="K7:K8"/>
    <mergeCell ref="H7:H8"/>
    <mergeCell ref="O6:Y6"/>
    <mergeCell ref="G6:I6"/>
    <mergeCell ref="J6:N6"/>
    <mergeCell ref="J7:J8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A6:F8"/>
    <mergeCell ref="G7:G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2015-11-25T08:27:43Z</cp:lastPrinted>
  <dcterms:created xsi:type="dcterms:W3CDTF">2013-04-24T10:34:01Z</dcterms:created>
  <dcterms:modified xsi:type="dcterms:W3CDTF">2015-11-27T13:14:35Z</dcterms:modified>
</cp:coreProperties>
</file>